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9CBF937-A9D8-482B-9DA3-9FB386BC9A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ecas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4" i="1" l="1"/>
  <c r="Z5" i="1" s="1"/>
  <c r="AA5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AB4" i="1" l="1"/>
  <c r="AB5" i="1"/>
  <c r="Z6" i="1"/>
  <c r="AB6" i="1" s="1"/>
  <c r="AA6" i="1" l="1"/>
  <c r="Z7" i="1" s="1"/>
  <c r="R4" i="1"/>
  <c r="R5" i="1" s="1"/>
  <c r="S5" i="1" s="1"/>
  <c r="R6" i="1" s="1"/>
  <c r="S6" i="1" s="1"/>
  <c r="K4" i="1"/>
  <c r="K5" i="1" s="1"/>
  <c r="E30" i="1"/>
  <c r="L5" i="1" l="1"/>
  <c r="K6" i="1"/>
  <c r="AA7" i="1"/>
  <c r="Z8" i="1" s="1"/>
  <c r="AB7" i="1"/>
  <c r="T4" i="1"/>
  <c r="T5" i="1"/>
  <c r="T6" i="1"/>
  <c r="R7" i="1"/>
  <c r="S7" i="1" s="1"/>
  <c r="AA8" i="1" l="1"/>
  <c r="Z9" i="1"/>
  <c r="AA9" i="1" s="1"/>
  <c r="Z10" i="1" s="1"/>
  <c r="AA10" i="1" s="1"/>
  <c r="AB8" i="1"/>
  <c r="L6" i="1"/>
  <c r="K7" i="1"/>
  <c r="AB9" i="1"/>
  <c r="T7" i="1"/>
  <c r="R8" i="1"/>
  <c r="S8" i="1" s="1"/>
  <c r="L7" i="1" l="1"/>
  <c r="K8" i="1" s="1"/>
  <c r="AB10" i="1"/>
  <c r="Z11" i="1"/>
  <c r="AA11" i="1" s="1"/>
  <c r="T8" i="1"/>
  <c r="R9" i="1"/>
  <c r="S9" i="1" s="1"/>
  <c r="L8" i="1" l="1"/>
  <c r="K9" i="1"/>
  <c r="AB11" i="1"/>
  <c r="Z12" i="1"/>
  <c r="AA12" i="1" s="1"/>
  <c r="T9" i="1"/>
  <c r="R10" i="1"/>
  <c r="S10" i="1" s="1"/>
  <c r="L9" i="1" l="1"/>
  <c r="K10" i="1" s="1"/>
  <c r="Z13" i="1"/>
  <c r="AA13" i="1" s="1"/>
  <c r="AB12" i="1"/>
  <c r="T10" i="1"/>
  <c r="R11" i="1"/>
  <c r="S11" i="1" s="1"/>
  <c r="L10" i="1" l="1"/>
  <c r="K11" i="1" s="1"/>
  <c r="Z14" i="1"/>
  <c r="AA14" i="1" s="1"/>
  <c r="AB13" i="1"/>
  <c r="R12" i="1"/>
  <c r="S12" i="1" s="1"/>
  <c r="T11" i="1"/>
  <c r="L11" i="1" l="1"/>
  <c r="K12" i="1"/>
  <c r="Z15" i="1"/>
  <c r="AB14" i="1"/>
  <c r="R13" i="1"/>
  <c r="S13" i="1" s="1"/>
  <c r="T12" i="1"/>
  <c r="L12" i="1" l="1"/>
  <c r="K13" i="1" s="1"/>
  <c r="AB15" i="1"/>
  <c r="AA15" i="1"/>
  <c r="Z16" i="1" s="1"/>
  <c r="R14" i="1"/>
  <c r="S14" i="1" s="1"/>
  <c r="T13" i="1"/>
  <c r="L13" i="1" l="1"/>
  <c r="K14" i="1"/>
  <c r="AA16" i="1"/>
  <c r="AB16" i="1"/>
  <c r="Z17" i="1"/>
  <c r="R15" i="1"/>
  <c r="T14" i="1"/>
  <c r="L14" i="1" l="1"/>
  <c r="K15" i="1" s="1"/>
  <c r="AA17" i="1"/>
  <c r="AB17" i="1"/>
  <c r="Z18" i="1"/>
  <c r="T15" i="1"/>
  <c r="S15" i="1"/>
  <c r="R16" i="1" s="1"/>
  <c r="L15" i="1" l="1"/>
  <c r="K16" i="1" s="1"/>
  <c r="L16" i="1" s="1"/>
  <c r="K17" i="1" s="1"/>
  <c r="L17" i="1" s="1"/>
  <c r="AA18" i="1"/>
  <c r="Z19" i="1" s="1"/>
  <c r="AB18" i="1"/>
  <c r="T16" i="1"/>
  <c r="S16" i="1"/>
  <c r="R17" i="1" s="1"/>
  <c r="AA19" i="1" l="1"/>
  <c r="Z20" i="1" s="1"/>
  <c r="AB19" i="1"/>
  <c r="T17" i="1"/>
  <c r="S17" i="1"/>
  <c r="R18" i="1" s="1"/>
  <c r="K18" i="1"/>
  <c r="AA20" i="1" l="1"/>
  <c r="Z21" i="1" s="1"/>
  <c r="AB20" i="1"/>
  <c r="S18" i="1"/>
  <c r="R19" i="1" s="1"/>
  <c r="T18" i="1"/>
  <c r="L18" i="1"/>
  <c r="AA21" i="1" l="1"/>
  <c r="Z22" i="1" s="1"/>
  <c r="AB21" i="1"/>
  <c r="S19" i="1"/>
  <c r="R20" i="1" s="1"/>
  <c r="T19" i="1"/>
  <c r="K19" i="1"/>
  <c r="AA22" i="1" l="1"/>
  <c r="Z23" i="1" s="1"/>
  <c r="AB22" i="1"/>
  <c r="S20" i="1"/>
  <c r="R21" i="1" s="1"/>
  <c r="T20" i="1"/>
  <c r="L19" i="1"/>
  <c r="AA23" i="1" l="1"/>
  <c r="Z24" i="1" s="1"/>
  <c r="AB23" i="1"/>
  <c r="T21" i="1"/>
  <c r="S21" i="1"/>
  <c r="R22" i="1" s="1"/>
  <c r="K20" i="1"/>
  <c r="AA24" i="1" l="1"/>
  <c r="Z25" i="1" s="1"/>
  <c r="AB24" i="1"/>
  <c r="T22" i="1"/>
  <c r="S22" i="1"/>
  <c r="R23" i="1" s="1"/>
  <c r="L20" i="1"/>
  <c r="K21" i="1" s="1"/>
  <c r="AA25" i="1" l="1"/>
  <c r="AB25" i="1"/>
  <c r="Z26" i="1"/>
  <c r="S23" i="1"/>
  <c r="R24" i="1" s="1"/>
  <c r="T23" i="1"/>
  <c r="L21" i="1"/>
  <c r="K22" i="1" s="1"/>
  <c r="AA26" i="1" l="1"/>
  <c r="Z27" i="1" s="1"/>
  <c r="AB26" i="1"/>
  <c r="T24" i="1"/>
  <c r="S24" i="1"/>
  <c r="R25" i="1" s="1"/>
  <c r="L22" i="1"/>
  <c r="AA27" i="1" l="1"/>
  <c r="Z28" i="1" s="1"/>
  <c r="AB27" i="1"/>
  <c r="S25" i="1"/>
  <c r="R26" i="1" s="1"/>
  <c r="T25" i="1"/>
  <c r="K23" i="1"/>
  <c r="AA28" i="1" l="1"/>
  <c r="Z29" i="1" s="1"/>
  <c r="AB28" i="1"/>
  <c r="S26" i="1"/>
  <c r="R27" i="1" s="1"/>
  <c r="T26" i="1"/>
  <c r="L23" i="1"/>
  <c r="AA29" i="1" l="1"/>
  <c r="Y32" i="1" s="1"/>
  <c r="AB29" i="1"/>
  <c r="S27" i="1"/>
  <c r="R28" i="1" s="1"/>
  <c r="T27" i="1"/>
  <c r="K24" i="1"/>
  <c r="Y30" i="1" l="1"/>
  <c r="Y31" i="1"/>
  <c r="S28" i="1"/>
  <c r="R29" i="1" s="1"/>
  <c r="T28" i="1"/>
  <c r="L24" i="1"/>
  <c r="K25" i="1"/>
  <c r="T29" i="1" l="1"/>
  <c r="S29" i="1"/>
  <c r="Q31" i="1" s="1"/>
  <c r="L25" i="1"/>
  <c r="Q30" i="1" l="1"/>
  <c r="Q32" i="1"/>
  <c r="K26" i="1"/>
  <c r="L26" i="1" l="1"/>
  <c r="K27" i="1" l="1"/>
  <c r="L27" i="1" l="1"/>
  <c r="K28" i="1" l="1"/>
  <c r="L28" i="1" l="1"/>
  <c r="K29" i="1" l="1"/>
  <c r="L29" i="1" l="1"/>
  <c r="J30" i="1" s="1"/>
  <c r="J31" i="1" l="1"/>
  <c r="J32" i="1"/>
</calcChain>
</file>

<file path=xl/sharedStrings.xml><?xml version="1.0" encoding="utf-8"?>
<sst xmlns="http://schemas.openxmlformats.org/spreadsheetml/2006/main" count="75" uniqueCount="23">
  <si>
    <t>Исходные данные</t>
  </si>
  <si>
    <t>Объем, кг (yt)</t>
  </si>
  <si>
    <t>Период (t)</t>
  </si>
  <si>
    <t>Yt</t>
  </si>
  <si>
    <t>Период (дата)</t>
  </si>
  <si>
    <t>α=</t>
  </si>
  <si>
    <t>Комментарий</t>
  </si>
  <si>
    <t>Прогноз</t>
  </si>
  <si>
    <t>Прогнозируемые периоды</t>
  </si>
  <si>
    <t>Коэффициенты</t>
  </si>
  <si>
    <t>Экспоненциальное сглаживание</t>
  </si>
  <si>
    <t>α1=</t>
  </si>
  <si>
    <t>α2=</t>
  </si>
  <si>
    <t>Метод Хольта (экспоненциальное сглаживание с учетом тренда)</t>
  </si>
  <si>
    <t>A(t)</t>
  </si>
  <si>
    <t>B(t)</t>
  </si>
  <si>
    <t>α3=</t>
  </si>
  <si>
    <t>Метод Хольта-Винтерса (экспоненциальное сглаживание с учетом тренда и мультипликативной сезонности)</t>
  </si>
  <si>
    <t>C(t)</t>
  </si>
  <si>
    <t>Не расчет</t>
  </si>
  <si>
    <t>Первый цикл</t>
  </si>
  <si>
    <t>Формулы первого цикла отличаются от формул последующих (другой расчет сезонности)</t>
  </si>
  <si>
    <t>Метод Тейла-Вейджа (экспоненциальное сглаживание с учетом тренда и мультипликативной сезонности)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</si>
</sst>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mm/yyyy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lightUp">
        <fgColor rgb="FFFF7F61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44822</xdr:colOff>
      <xdr:row>32</xdr:row>
      <xdr:rowOff>89649</xdr:rowOff>
    </xdr:from>
    <xdr:to>
      <xdr:col>7</xdr:col>
      <xdr:colOff>403411</xdr:colOff>
      <xdr:row>35</xdr:row>
      <xdr:rowOff>33618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955675" y="6185649"/>
          <a:ext cx="3429001" cy="51546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>
              <a:solidFill>
                <a:schemeClr val="tx1"/>
              </a:solidFill>
            </a:rPr>
            <a:t>В</a:t>
          </a:r>
          <a:r>
            <a:rPr lang="ru-RU" sz="1100" baseline="0">
              <a:solidFill>
                <a:schemeClr val="tx1"/>
              </a:solidFill>
            </a:rPr>
            <a:t> классическом экспоненциальном сглаживании, прогноз строится на 1 период.</a:t>
          </a:r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201705</xdr:colOff>
      <xdr:row>32</xdr:row>
      <xdr:rowOff>89646</xdr:rowOff>
    </xdr:from>
    <xdr:to>
      <xdr:col>13</xdr:col>
      <xdr:colOff>257734</xdr:colOff>
      <xdr:row>41</xdr:row>
      <xdr:rowOff>11206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788087" y="6185646"/>
          <a:ext cx="5199529" cy="16360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A(1)</a:t>
          </a:r>
          <a:r>
            <a:rPr lang="en-US" sz="1100" baseline="0">
              <a:solidFill>
                <a:schemeClr val="tx1"/>
              </a:solidFill>
            </a:rPr>
            <a:t> </a:t>
          </a:r>
          <a:r>
            <a:rPr lang="ru-RU" sz="1100" baseline="0">
              <a:solidFill>
                <a:schemeClr val="tx1"/>
              </a:solidFill>
            </a:rPr>
            <a:t>и </a:t>
          </a:r>
          <a:r>
            <a:rPr lang="en-US" sz="1100" baseline="0">
              <a:solidFill>
                <a:schemeClr val="tx1"/>
              </a:solidFill>
            </a:rPr>
            <a:t>B(1) </a:t>
          </a:r>
          <a:r>
            <a:rPr lang="ru-RU" sz="1100" baseline="0">
              <a:solidFill>
                <a:schemeClr val="tx1"/>
              </a:solidFill>
            </a:rPr>
            <a:t>не рассчитываются: вместо них используются </a:t>
          </a:r>
          <a:r>
            <a:rPr lang="en-US" sz="1100" baseline="0">
              <a:solidFill>
                <a:schemeClr val="tx1"/>
              </a:solidFill>
            </a:rPr>
            <a:t>yt </a:t>
          </a:r>
          <a:r>
            <a:rPr lang="ru-RU" sz="1100" baseline="0">
              <a:solidFill>
                <a:schemeClr val="tx1"/>
              </a:solidFill>
            </a:rPr>
            <a:t>и 0 соответственно. </a:t>
          </a:r>
          <a:br>
            <a:rPr lang="ru-RU" sz="1100" baseline="0">
              <a:solidFill>
                <a:schemeClr val="tx1"/>
              </a:solidFill>
            </a:rPr>
          </a:br>
          <a:br>
            <a:rPr lang="ru-RU" sz="1100" baseline="0">
              <a:solidFill>
                <a:schemeClr val="tx1"/>
              </a:solidFill>
            </a:rPr>
          </a:br>
          <a:r>
            <a:rPr lang="ru-RU" sz="1100" baseline="0">
              <a:solidFill>
                <a:schemeClr val="tx1"/>
              </a:solidFill>
            </a:rPr>
            <a:t>Построили прогноз на три периода вперед.</a:t>
          </a:r>
          <a:br>
            <a:rPr lang="ru-RU" sz="1100" baseline="0">
              <a:solidFill>
                <a:schemeClr val="tx1"/>
              </a:solidFill>
            </a:rPr>
          </a:br>
          <a:br>
            <a:rPr lang="ru-RU" sz="1100" baseline="0">
              <a:solidFill>
                <a:schemeClr val="tx1"/>
              </a:solidFill>
            </a:rPr>
          </a:br>
          <a:r>
            <a:rPr lang="ru-RU" sz="1100" baseline="0">
              <a:solidFill>
                <a:schemeClr val="tx1"/>
              </a:solidFill>
            </a:rPr>
            <a:t>Коэффициенты </a:t>
          </a:r>
          <a:r>
            <a:rPr lang="el-GR" sz="1100" baseline="0">
              <a:solidFill>
                <a:schemeClr val="tx1"/>
              </a:solidFill>
            </a:rPr>
            <a:t>α</a:t>
          </a:r>
          <a:r>
            <a:rPr lang="ru-RU" sz="1100" baseline="0">
              <a:solidFill>
                <a:schemeClr val="tx1"/>
              </a:solidFill>
            </a:rPr>
            <a:t>1 и </a:t>
          </a:r>
          <a:r>
            <a:rPr lang="el-GR" sz="1100" baseline="0">
              <a:solidFill>
                <a:schemeClr val="tx1"/>
              </a:solidFill>
            </a:rPr>
            <a:t>α</a:t>
          </a:r>
          <a:r>
            <a:rPr lang="ru-RU" sz="1100" baseline="0">
              <a:solidFill>
                <a:schemeClr val="tx1"/>
              </a:solidFill>
            </a:rPr>
            <a:t>2 подбираются таким образом, чтобы ошибка нашей модели была минимальна (для ее расчета необходимо построить прогнозы на уже имеющиеся периоды и сравнить факты с прогнозами, если разница минимальна - коэффициенты подобраны удачно).</a:t>
          </a:r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11205</xdr:colOff>
      <xdr:row>32</xdr:row>
      <xdr:rowOff>78441</xdr:rowOff>
    </xdr:from>
    <xdr:to>
      <xdr:col>21</xdr:col>
      <xdr:colOff>78440</xdr:colOff>
      <xdr:row>45</xdr:row>
      <xdr:rowOff>0</xdr:rowOff>
    </xdr:to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164234" y="6174441"/>
          <a:ext cx="6230471" cy="239805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A(1)</a:t>
          </a:r>
          <a:r>
            <a:rPr lang="en-US" sz="1100" baseline="0">
              <a:solidFill>
                <a:schemeClr val="tx1"/>
              </a:solidFill>
            </a:rPr>
            <a:t> </a:t>
          </a:r>
          <a:r>
            <a:rPr lang="ru-RU" sz="1100" baseline="0">
              <a:solidFill>
                <a:schemeClr val="tx1"/>
              </a:solidFill>
            </a:rPr>
            <a:t>и </a:t>
          </a:r>
          <a:r>
            <a:rPr lang="en-US" sz="1100" baseline="0">
              <a:solidFill>
                <a:schemeClr val="tx1"/>
              </a:solidFill>
            </a:rPr>
            <a:t>B(1) </a:t>
          </a:r>
          <a:r>
            <a:rPr lang="ru-RU" sz="1100" baseline="0">
              <a:solidFill>
                <a:schemeClr val="tx1"/>
              </a:solidFill>
            </a:rPr>
            <a:t>не рассчитываются: вместо них используются </a:t>
          </a:r>
          <a:r>
            <a:rPr lang="en-US" sz="1100" baseline="0">
              <a:solidFill>
                <a:schemeClr val="tx1"/>
              </a:solidFill>
            </a:rPr>
            <a:t>yt </a:t>
          </a:r>
          <a:r>
            <a:rPr lang="ru-RU" sz="1100" baseline="0">
              <a:solidFill>
                <a:schemeClr val="tx1"/>
              </a:solidFill>
            </a:rPr>
            <a:t>и 0 соответственно. </a:t>
          </a:r>
          <a:br>
            <a:rPr lang="ru-RU" sz="1100" baseline="0">
              <a:solidFill>
                <a:schemeClr val="tx1"/>
              </a:solidFill>
            </a:rPr>
          </a:br>
          <a:br>
            <a:rPr lang="ru-RU" sz="1100" baseline="0">
              <a:solidFill>
                <a:schemeClr val="tx1"/>
              </a:solidFill>
            </a:rPr>
          </a:br>
          <a:r>
            <a:rPr lang="en-US" sz="1100" baseline="0">
              <a:solidFill>
                <a:schemeClr val="tx1"/>
              </a:solidFill>
            </a:rPr>
            <a:t>C(1-12) </a:t>
          </a:r>
          <a:r>
            <a:rPr lang="ru-RU" sz="1100" baseline="0">
              <a:solidFill>
                <a:schemeClr val="tx1"/>
              </a:solidFill>
            </a:rPr>
            <a:t>рассчитываются максимально просто: </a:t>
          </a:r>
          <a:r>
            <a:rPr lang="en-US" sz="1100" baseline="0">
              <a:solidFill>
                <a:schemeClr val="tx1"/>
              </a:solidFill>
            </a:rPr>
            <a:t>yt/At</a:t>
          </a:r>
          <a:r>
            <a:rPr lang="ru-RU" sz="1100" baseline="0">
              <a:solidFill>
                <a:schemeClr val="tx1"/>
              </a:solidFill>
            </a:rPr>
            <a:t> (так как это первый цикл, то есть 12 месяцев</a:t>
          </a:r>
          <a:r>
            <a:rPr lang="en-US" sz="1100" baseline="0">
              <a:solidFill>
                <a:schemeClr val="tx1"/>
              </a:solidFill>
            </a:rPr>
            <a:t>.</a:t>
          </a:r>
          <a:br>
            <a:rPr lang="en-US" sz="1100" baseline="0">
              <a:solidFill>
                <a:schemeClr val="tx1"/>
              </a:solidFill>
            </a:rPr>
          </a:br>
          <a:br>
            <a:rPr lang="ru-RU" sz="1100" baseline="0">
              <a:solidFill>
                <a:schemeClr val="tx1"/>
              </a:solidFill>
            </a:rPr>
          </a:br>
          <a:r>
            <a:rPr lang="en-US" sz="1100" baseline="0">
              <a:solidFill>
                <a:schemeClr val="tx1"/>
              </a:solidFill>
            </a:rPr>
            <a:t>C </a:t>
          </a:r>
          <a:r>
            <a:rPr lang="ru-RU" sz="1100" baseline="0">
              <a:solidFill>
                <a:schemeClr val="tx1"/>
              </a:solidFill>
            </a:rPr>
            <a:t>последующих периодов следующих циклов уже рассчитываются по предложенной в статье формуле.</a:t>
          </a:r>
        </a:p>
        <a:p>
          <a:pPr algn="l"/>
          <a:br>
            <a:rPr lang="ru-RU" sz="1100" baseline="0">
              <a:solidFill>
                <a:schemeClr val="tx1"/>
              </a:solidFill>
            </a:rPr>
          </a:br>
          <a:r>
            <a:rPr lang="ru-RU" sz="1100" baseline="0">
              <a:solidFill>
                <a:schemeClr val="tx1"/>
              </a:solidFill>
            </a:rPr>
            <a:t>Построили прогноз на три периода вперед.</a:t>
          </a:r>
          <a:br>
            <a:rPr lang="ru-RU" sz="1100" baseline="0">
              <a:solidFill>
                <a:schemeClr val="tx1"/>
              </a:solidFill>
            </a:rPr>
          </a:br>
          <a:br>
            <a:rPr lang="ru-RU" sz="1100" baseline="0">
              <a:solidFill>
                <a:schemeClr val="tx1"/>
              </a:solidFill>
            </a:rPr>
          </a:br>
          <a:r>
            <a:rPr lang="ru-RU" sz="1100" baseline="0">
              <a:solidFill>
                <a:schemeClr val="tx1"/>
              </a:solidFill>
            </a:rPr>
            <a:t>Коэффициенты </a:t>
          </a:r>
          <a:r>
            <a:rPr lang="el-GR" sz="1100" baseline="0">
              <a:solidFill>
                <a:schemeClr val="tx1"/>
              </a:solidFill>
            </a:rPr>
            <a:t>α</a:t>
          </a:r>
          <a:r>
            <a:rPr lang="ru-RU" sz="1100" baseline="0">
              <a:solidFill>
                <a:schemeClr val="tx1"/>
              </a:solidFill>
            </a:rPr>
            <a:t>1,</a:t>
          </a:r>
          <a:r>
            <a:rPr lang="el-GR" sz="1100" baseline="0">
              <a:solidFill>
                <a:schemeClr val="tx1"/>
              </a:solidFill>
            </a:rPr>
            <a:t>α</a:t>
          </a:r>
          <a:r>
            <a:rPr lang="ru-RU" sz="1100" baseline="0">
              <a:solidFill>
                <a:schemeClr val="tx1"/>
              </a:solidFill>
            </a:rPr>
            <a:t>2 и </a:t>
          </a:r>
          <a:r>
            <a:rPr lang="el-G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α</a:t>
          </a:r>
          <a:r>
            <a:rPr lang="ru-R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 </a:t>
          </a:r>
          <a:r>
            <a:rPr lang="ru-RU" sz="1100" baseline="0">
              <a:solidFill>
                <a:schemeClr val="tx1"/>
              </a:solidFill>
            </a:rPr>
            <a:t>подбираются таким образом, чтобы ошибка нашей модели была минимальна (для ее расчета необходимо построить прогнозы на уже имеющиеся периоды и сравнить факты с прогнозами, если разница минимальна - коэффициенты подобраны удачно).</a:t>
          </a:r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11204</xdr:colOff>
      <xdr:row>32</xdr:row>
      <xdr:rowOff>56029</xdr:rowOff>
    </xdr:from>
    <xdr:to>
      <xdr:col>29</xdr:col>
      <xdr:colOff>67234</xdr:colOff>
      <xdr:row>46</xdr:row>
      <xdr:rowOff>56029</xdr:rowOff>
    </xdr:to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2142822" y="6152029"/>
          <a:ext cx="6219265" cy="2667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A(1)</a:t>
          </a:r>
          <a:r>
            <a:rPr lang="en-US" sz="1100" baseline="0">
              <a:solidFill>
                <a:schemeClr val="tx1"/>
              </a:solidFill>
            </a:rPr>
            <a:t> </a:t>
          </a:r>
          <a:r>
            <a:rPr lang="ru-RU" sz="1100" baseline="0">
              <a:solidFill>
                <a:schemeClr val="tx1"/>
              </a:solidFill>
            </a:rPr>
            <a:t>и </a:t>
          </a:r>
          <a:r>
            <a:rPr lang="en-US" sz="1100" baseline="0">
              <a:solidFill>
                <a:schemeClr val="tx1"/>
              </a:solidFill>
            </a:rPr>
            <a:t>B(1) </a:t>
          </a:r>
          <a:r>
            <a:rPr lang="ru-RU" sz="1100" baseline="0">
              <a:solidFill>
                <a:schemeClr val="tx1"/>
              </a:solidFill>
            </a:rPr>
            <a:t>не рассчитываются: вместо них используются </a:t>
          </a:r>
          <a:r>
            <a:rPr lang="en-US" sz="1100" baseline="0">
              <a:solidFill>
                <a:schemeClr val="tx1"/>
              </a:solidFill>
            </a:rPr>
            <a:t>yt </a:t>
          </a:r>
          <a:r>
            <a:rPr lang="ru-RU" sz="1100" baseline="0">
              <a:solidFill>
                <a:schemeClr val="tx1"/>
              </a:solidFill>
            </a:rPr>
            <a:t>и 0 соответственно. </a:t>
          </a:r>
          <a:br>
            <a:rPr lang="ru-RU" sz="1100" baseline="0">
              <a:solidFill>
                <a:schemeClr val="tx1"/>
              </a:solidFill>
            </a:rPr>
          </a:br>
          <a:br>
            <a:rPr lang="ru-RU" sz="1100" baseline="0">
              <a:solidFill>
                <a:schemeClr val="tx1"/>
              </a:solidFill>
            </a:rPr>
          </a:br>
          <a:r>
            <a:rPr lang="en-US" sz="1100" baseline="0">
              <a:solidFill>
                <a:schemeClr val="tx1"/>
              </a:solidFill>
            </a:rPr>
            <a:t>C(1-12) </a:t>
          </a:r>
          <a:r>
            <a:rPr lang="ru-RU" sz="1100" baseline="0">
              <a:solidFill>
                <a:schemeClr val="tx1"/>
              </a:solidFill>
            </a:rPr>
            <a:t>рассчитываются максимально просто: </a:t>
          </a:r>
          <a:r>
            <a:rPr lang="en-US" sz="1100" baseline="0">
              <a:solidFill>
                <a:schemeClr val="tx1"/>
              </a:solidFill>
            </a:rPr>
            <a:t>yt-At</a:t>
          </a:r>
          <a:r>
            <a:rPr lang="ru-RU" sz="1100" baseline="0">
              <a:solidFill>
                <a:schemeClr val="tx1"/>
              </a:solidFill>
            </a:rPr>
            <a:t> (так как это первый цикл, то есть 12 месяцев</a:t>
          </a:r>
          <a:r>
            <a:rPr lang="en-US" sz="1100" baseline="0">
              <a:solidFill>
                <a:schemeClr val="tx1"/>
              </a:solidFill>
            </a:rPr>
            <a:t>.</a:t>
          </a:r>
          <a:br>
            <a:rPr lang="en-US" sz="1100" baseline="0">
              <a:solidFill>
                <a:schemeClr val="tx1"/>
              </a:solidFill>
            </a:rPr>
          </a:br>
          <a:br>
            <a:rPr lang="ru-RU" sz="1100" baseline="0">
              <a:solidFill>
                <a:schemeClr val="tx1"/>
              </a:solidFill>
            </a:rPr>
          </a:br>
          <a:r>
            <a:rPr lang="en-US" sz="1100" baseline="0">
              <a:solidFill>
                <a:schemeClr val="tx1"/>
              </a:solidFill>
            </a:rPr>
            <a:t>C </a:t>
          </a:r>
          <a:r>
            <a:rPr lang="ru-RU" sz="1100" baseline="0">
              <a:solidFill>
                <a:schemeClr val="tx1"/>
              </a:solidFill>
            </a:rPr>
            <a:t>последующих периодов следующих циклов уже рассчитываются по предложенной в статье формуле.</a:t>
          </a:r>
        </a:p>
        <a:p>
          <a:pPr algn="l"/>
          <a:br>
            <a:rPr lang="ru-RU" sz="1100" baseline="0">
              <a:solidFill>
                <a:schemeClr val="tx1"/>
              </a:solidFill>
            </a:rPr>
          </a:br>
          <a:r>
            <a:rPr lang="ru-RU" sz="1100" baseline="0">
              <a:solidFill>
                <a:schemeClr val="tx1"/>
              </a:solidFill>
            </a:rPr>
            <a:t>Построили прогноз на три периода вперед.</a:t>
          </a:r>
          <a:br>
            <a:rPr lang="ru-RU" sz="1100" baseline="0">
              <a:solidFill>
                <a:schemeClr val="tx1"/>
              </a:solidFill>
            </a:rPr>
          </a:br>
          <a:r>
            <a:rPr lang="ru-RU" sz="1100" baseline="0">
              <a:solidFill>
                <a:schemeClr val="tx1"/>
              </a:solidFill>
            </a:rPr>
            <a:t>Коэффициенты </a:t>
          </a:r>
          <a:r>
            <a:rPr lang="el-GR" sz="1100" baseline="0">
              <a:solidFill>
                <a:schemeClr val="tx1"/>
              </a:solidFill>
            </a:rPr>
            <a:t>α</a:t>
          </a:r>
          <a:r>
            <a:rPr lang="ru-RU" sz="1100" baseline="0">
              <a:solidFill>
                <a:schemeClr val="tx1"/>
              </a:solidFill>
            </a:rPr>
            <a:t>1,</a:t>
          </a:r>
          <a:r>
            <a:rPr lang="el-GR" sz="1100" baseline="0">
              <a:solidFill>
                <a:schemeClr val="tx1"/>
              </a:solidFill>
            </a:rPr>
            <a:t>α</a:t>
          </a:r>
          <a:r>
            <a:rPr lang="ru-RU" sz="1100" baseline="0">
              <a:solidFill>
                <a:schemeClr val="tx1"/>
              </a:solidFill>
            </a:rPr>
            <a:t>2 и </a:t>
          </a:r>
          <a:r>
            <a:rPr lang="el-G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α</a:t>
          </a:r>
          <a:r>
            <a:rPr lang="ru-R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 </a:t>
          </a:r>
          <a:r>
            <a:rPr lang="ru-RU" sz="1100" baseline="0">
              <a:solidFill>
                <a:schemeClr val="tx1"/>
              </a:solidFill>
            </a:rPr>
            <a:t>подбираются таким образом, чтобы ошибка нашей модели была минимальна (для ее расчета необходимо построить прогнозы на уже имеющиеся периоды и сравнить факты с прогнозами, если разница минимальна - коэффициенты подобраны удачно).</a:t>
          </a:r>
          <a:br>
            <a:rPr lang="en-US" sz="1100" baseline="0">
              <a:solidFill>
                <a:schemeClr val="tx1"/>
              </a:solidFill>
            </a:rPr>
          </a:br>
          <a:br>
            <a:rPr lang="en-US" sz="1100" baseline="0">
              <a:solidFill>
                <a:schemeClr val="tx1"/>
              </a:solidFill>
            </a:rPr>
          </a:br>
          <a:r>
            <a:rPr lang="ru-RU" sz="1100" baseline="0">
              <a:solidFill>
                <a:schemeClr val="tx1"/>
              </a:solidFill>
            </a:rPr>
            <a:t>Отличия данной модели от модели Хольта-Винтерса заключается в сезонности: здесь идет как слагаемое, а в Хольте-Винтерсе, как множитель.</a:t>
          </a:r>
          <a:endParaRPr lang="ru-RU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50"/>
  </sheetPr>
  <dimension ref="A2:AE32"/>
  <sheetViews>
    <sheetView showGridLines="0" tabSelected="1" zoomScale="85" zoomScaleNormal="85" workbookViewId="0">
      <pane xSplit="3" topLeftCell="D1" activePane="topRight" state="frozen"/>
      <selection pane="topRight" activeCell="R18" sqref="R18"/>
    </sheetView>
  </sheetViews>
  <sheetFormatPr defaultRowHeight="15" x14ac:dyDescent="0.25"/>
  <cols>
    <col min="1" max="3" width="18.42578125" customWidth="1"/>
    <col min="4" max="4" width="3.140625" customWidth="1"/>
    <col min="5" max="6" width="18.42578125" customWidth="1"/>
    <col min="9" max="9" width="3.140625" customWidth="1"/>
    <col min="10" max="13" width="18.42578125" customWidth="1"/>
    <col min="16" max="16" width="3.140625" customWidth="1"/>
    <col min="17" max="21" width="18.42578125" customWidth="1"/>
    <col min="25" max="29" width="18.42578125" customWidth="1"/>
  </cols>
  <sheetData>
    <row r="2" spans="1:31" x14ac:dyDescent="0.25">
      <c r="A2" s="12" t="s">
        <v>0</v>
      </c>
      <c r="B2" s="12"/>
      <c r="C2" s="12"/>
      <c r="E2" s="16" t="s">
        <v>10</v>
      </c>
      <c r="F2" s="18"/>
      <c r="G2" s="18"/>
      <c r="H2" s="17"/>
      <c r="J2" s="16" t="s">
        <v>13</v>
      </c>
      <c r="K2" s="18"/>
      <c r="L2" s="18"/>
      <c r="M2" s="18"/>
      <c r="N2" s="18"/>
      <c r="O2" s="17"/>
      <c r="Q2" s="16" t="s">
        <v>17</v>
      </c>
      <c r="R2" s="18"/>
      <c r="S2" s="18"/>
      <c r="T2" s="18"/>
      <c r="U2" s="18"/>
      <c r="V2" s="18"/>
      <c r="W2" s="17"/>
      <c r="Y2" s="16" t="s">
        <v>22</v>
      </c>
      <c r="Z2" s="18"/>
      <c r="AA2" s="18"/>
      <c r="AB2" s="18"/>
      <c r="AC2" s="18"/>
      <c r="AD2" s="18"/>
      <c r="AE2" s="17"/>
    </row>
    <row r="3" spans="1:31" x14ac:dyDescent="0.25">
      <c r="A3" s="4" t="s">
        <v>4</v>
      </c>
      <c r="B3" s="4" t="s">
        <v>2</v>
      </c>
      <c r="C3" s="4" t="s">
        <v>1</v>
      </c>
      <c r="E3" s="4" t="s">
        <v>3</v>
      </c>
      <c r="F3" s="4" t="s">
        <v>6</v>
      </c>
      <c r="G3" s="16" t="s">
        <v>9</v>
      </c>
      <c r="H3" s="17"/>
      <c r="J3" s="4" t="s">
        <v>3</v>
      </c>
      <c r="K3" s="4" t="s">
        <v>14</v>
      </c>
      <c r="L3" s="4" t="s">
        <v>15</v>
      </c>
      <c r="M3" s="4" t="s">
        <v>6</v>
      </c>
      <c r="N3" s="16" t="s">
        <v>9</v>
      </c>
      <c r="O3" s="17"/>
      <c r="Q3" s="4" t="s">
        <v>3</v>
      </c>
      <c r="R3" s="4" t="s">
        <v>14</v>
      </c>
      <c r="S3" s="4" t="s">
        <v>15</v>
      </c>
      <c r="T3" s="4" t="s">
        <v>18</v>
      </c>
      <c r="U3" s="4" t="s">
        <v>6</v>
      </c>
      <c r="V3" s="16" t="s">
        <v>9</v>
      </c>
      <c r="W3" s="17"/>
      <c r="Y3" s="4" t="s">
        <v>3</v>
      </c>
      <c r="Z3" s="4" t="s">
        <v>14</v>
      </c>
      <c r="AA3" s="4" t="s">
        <v>15</v>
      </c>
      <c r="AB3" s="4" t="s">
        <v>18</v>
      </c>
      <c r="AC3" s="4" t="s">
        <v>6</v>
      </c>
      <c r="AD3" s="16" t="s">
        <v>9</v>
      </c>
      <c r="AE3" s="17"/>
    </row>
    <row r="4" spans="1:31" x14ac:dyDescent="0.25">
      <c r="A4" s="2">
        <v>42736</v>
      </c>
      <c r="B4" s="5">
        <v>1</v>
      </c>
      <c r="C4" s="3">
        <v>404</v>
      </c>
      <c r="E4" s="3">
        <f>C4</f>
        <v>404</v>
      </c>
      <c r="F4" s="1"/>
      <c r="G4" s="6" t="s">
        <v>5</v>
      </c>
      <c r="H4" s="1">
        <v>0.25</v>
      </c>
      <c r="J4" s="3"/>
      <c r="K4" s="9">
        <f>C4</f>
        <v>404</v>
      </c>
      <c r="L4" s="9">
        <v>0</v>
      </c>
      <c r="M4" s="1" t="s">
        <v>19</v>
      </c>
      <c r="N4" s="6" t="s">
        <v>11</v>
      </c>
      <c r="O4" s="1">
        <v>0.25</v>
      </c>
      <c r="Q4" s="3"/>
      <c r="R4" s="9">
        <f>C4</f>
        <v>404</v>
      </c>
      <c r="S4" s="9">
        <v>0</v>
      </c>
      <c r="T4" s="9">
        <f>C4/R4</f>
        <v>1</v>
      </c>
      <c r="U4" s="1" t="s">
        <v>20</v>
      </c>
      <c r="V4" s="6" t="s">
        <v>11</v>
      </c>
      <c r="W4" s="1">
        <v>0.35</v>
      </c>
      <c r="Y4" s="3"/>
      <c r="Z4" s="9">
        <f>C4</f>
        <v>404</v>
      </c>
      <c r="AA4" s="9">
        <v>0</v>
      </c>
      <c r="AB4" s="9">
        <f>C4-Z4</f>
        <v>0</v>
      </c>
      <c r="AC4" s="1" t="s">
        <v>20</v>
      </c>
      <c r="AD4" s="6" t="s">
        <v>11</v>
      </c>
      <c r="AE4" s="1">
        <v>0.35</v>
      </c>
    </row>
    <row r="5" spans="1:31" x14ac:dyDescent="0.25">
      <c r="A5" s="2">
        <v>42767</v>
      </c>
      <c r="B5" s="5">
        <v>2</v>
      </c>
      <c r="C5" s="3">
        <v>804</v>
      </c>
      <c r="E5" s="3">
        <f t="shared" ref="E5:E30" si="0">$H$4*C4+(1-$H$4)*E4</f>
        <v>404</v>
      </c>
      <c r="F5" s="1"/>
      <c r="J5" s="3"/>
      <c r="K5" s="9">
        <f>$O$4*C5+(1-$O$4)*(K4-L4)</f>
        <v>504</v>
      </c>
      <c r="L5" s="9">
        <f>$O$5*(K5-K4)+(1-$O$5)*L4</f>
        <v>35</v>
      </c>
      <c r="M5" s="1"/>
      <c r="N5" s="6" t="s">
        <v>12</v>
      </c>
      <c r="O5" s="1">
        <v>0.35</v>
      </c>
      <c r="Q5" s="3"/>
      <c r="R5" s="9">
        <f>$W$4*(C5/1)+(1-$W$4)*(R4+S4)</f>
        <v>544</v>
      </c>
      <c r="S5" s="9">
        <f>$W$5*(R5-R4)+(1-$W$5)*S4</f>
        <v>49</v>
      </c>
      <c r="T5" s="9">
        <f t="shared" ref="T5:T15" si="1">C5/R5</f>
        <v>1.4779411764705883</v>
      </c>
      <c r="U5" s="1" t="s">
        <v>20</v>
      </c>
      <c r="V5" s="6" t="s">
        <v>12</v>
      </c>
      <c r="W5" s="1">
        <v>0.35</v>
      </c>
      <c r="Y5" s="3"/>
      <c r="Z5" s="9">
        <f>$AE$4*(C5-0)+(1-$AE$4)*(Z4+AA4)</f>
        <v>544</v>
      </c>
      <c r="AA5" s="9">
        <f>$AE$5*(Z5-Z4)+(1-$AE$5)*AA4</f>
        <v>49</v>
      </c>
      <c r="AB5" s="9">
        <f t="shared" ref="AB5:AB15" si="2">C5-Z5</f>
        <v>260</v>
      </c>
      <c r="AC5" s="1" t="s">
        <v>20</v>
      </c>
      <c r="AD5" s="6" t="s">
        <v>12</v>
      </c>
      <c r="AE5" s="1">
        <v>0.35</v>
      </c>
    </row>
    <row r="6" spans="1:31" x14ac:dyDescent="0.25">
      <c r="A6" s="2">
        <v>42795</v>
      </c>
      <c r="B6" s="5">
        <v>3</v>
      </c>
      <c r="C6" s="3">
        <v>268</v>
      </c>
      <c r="E6" s="3">
        <f t="shared" si="0"/>
        <v>504</v>
      </c>
      <c r="F6" s="1"/>
      <c r="J6" s="3"/>
      <c r="K6" s="9">
        <f t="shared" ref="K6:K29" si="3">$O$4*C6+(1-$O$4)*(K5-L5)</f>
        <v>418.75</v>
      </c>
      <c r="L6" s="9">
        <f t="shared" ref="L6:L29" si="4">$O$5*(K6-K5)+(1-$O$5)*L5</f>
        <v>-7.0874999999999986</v>
      </c>
      <c r="M6" s="1"/>
      <c r="Q6" s="3"/>
      <c r="R6" s="9">
        <f t="shared" ref="R6:R15" si="5">$W$4*(C6/1)+(1-$W$4)*(R5+S5)</f>
        <v>479.25</v>
      </c>
      <c r="S6" s="9">
        <f t="shared" ref="S6:S16" si="6">$W$5*(R6-R5)+(1-$W$5)*S5</f>
        <v>9.1875000000000036</v>
      </c>
      <c r="T6" s="9">
        <f t="shared" si="1"/>
        <v>0.55920709441836203</v>
      </c>
      <c r="U6" s="1" t="s">
        <v>20</v>
      </c>
      <c r="V6" s="6" t="s">
        <v>16</v>
      </c>
      <c r="W6" s="1">
        <v>0.45</v>
      </c>
      <c r="Y6" s="3"/>
      <c r="Z6" s="9">
        <f t="shared" ref="Z6:Z15" si="7">$AE$4*(C6-0)+(1-$AE$4)*(Z5+AA5)</f>
        <v>479.25</v>
      </c>
      <c r="AA6" s="9">
        <f t="shared" ref="AA6:AA29" si="8">$AE$5*(Z6-Z5)+(1-$AE$5)*AA5</f>
        <v>9.1875000000000036</v>
      </c>
      <c r="AB6" s="9">
        <f t="shared" si="2"/>
        <v>-211.25</v>
      </c>
      <c r="AC6" s="1" t="s">
        <v>20</v>
      </c>
      <c r="AD6" s="6" t="s">
        <v>16</v>
      </c>
      <c r="AE6" s="1">
        <v>0.45</v>
      </c>
    </row>
    <row r="7" spans="1:31" ht="15" customHeight="1" x14ac:dyDescent="0.25">
      <c r="A7" s="2">
        <v>42826</v>
      </c>
      <c r="B7" s="5">
        <v>4</v>
      </c>
      <c r="C7" s="3">
        <v>820</v>
      </c>
      <c r="E7" s="3">
        <f t="shared" si="0"/>
        <v>445</v>
      </c>
      <c r="F7" s="1"/>
      <c r="J7" s="3"/>
      <c r="K7" s="9">
        <f t="shared" si="3"/>
        <v>524.37812499999995</v>
      </c>
      <c r="L7" s="9">
        <f t="shared" si="4"/>
        <v>32.362968749999979</v>
      </c>
      <c r="M7" s="1"/>
      <c r="Q7" s="3"/>
      <c r="R7" s="9">
        <f t="shared" si="5"/>
        <v>604.484375</v>
      </c>
      <c r="S7" s="9">
        <f t="shared" si="6"/>
        <v>49.803906250000004</v>
      </c>
      <c r="T7" s="9">
        <f t="shared" si="1"/>
        <v>1.356528032672474</v>
      </c>
      <c r="U7" s="1" t="s">
        <v>20</v>
      </c>
      <c r="V7" s="19" t="s">
        <v>21</v>
      </c>
      <c r="W7" s="20"/>
      <c r="Y7" s="3"/>
      <c r="Z7" s="9">
        <f t="shared" si="7"/>
        <v>604.484375</v>
      </c>
      <c r="AA7" s="9">
        <f t="shared" si="8"/>
        <v>49.803906250000004</v>
      </c>
      <c r="AB7" s="9">
        <f t="shared" si="2"/>
        <v>215.515625</v>
      </c>
      <c r="AC7" s="1" t="s">
        <v>20</v>
      </c>
      <c r="AD7" s="19" t="s">
        <v>21</v>
      </c>
      <c r="AE7" s="20"/>
    </row>
    <row r="8" spans="1:31" x14ac:dyDescent="0.25">
      <c r="A8" s="2">
        <v>42856</v>
      </c>
      <c r="B8" s="5">
        <v>5</v>
      </c>
      <c r="C8" s="3">
        <v>896</v>
      </c>
      <c r="E8" s="3">
        <f t="shared" si="0"/>
        <v>538.75</v>
      </c>
      <c r="F8" s="1"/>
      <c r="J8" s="3"/>
      <c r="K8" s="9">
        <f t="shared" si="3"/>
        <v>593.0113671874999</v>
      </c>
      <c r="L8" s="9">
        <f t="shared" si="4"/>
        <v>45.057564453124968</v>
      </c>
      <c r="M8" s="1"/>
      <c r="Q8" s="3"/>
      <c r="R8" s="9">
        <f t="shared" si="5"/>
        <v>738.88738281249994</v>
      </c>
      <c r="S8" s="9">
        <f t="shared" si="6"/>
        <v>79.413591796874982</v>
      </c>
      <c r="T8" s="9">
        <f t="shared" si="1"/>
        <v>1.2126340506579862</v>
      </c>
      <c r="U8" s="1" t="s">
        <v>20</v>
      </c>
      <c r="V8" s="21"/>
      <c r="W8" s="22"/>
      <c r="Y8" s="3"/>
      <c r="Z8" s="9">
        <f t="shared" si="7"/>
        <v>738.88738281249994</v>
      </c>
      <c r="AA8" s="9">
        <f t="shared" si="8"/>
        <v>79.413591796874982</v>
      </c>
      <c r="AB8" s="9">
        <f t="shared" si="2"/>
        <v>157.11261718750006</v>
      </c>
      <c r="AC8" s="1" t="s">
        <v>20</v>
      </c>
      <c r="AD8" s="21"/>
      <c r="AE8" s="22"/>
    </row>
    <row r="9" spans="1:31" x14ac:dyDescent="0.25">
      <c r="A9" s="2">
        <v>42887</v>
      </c>
      <c r="B9" s="5">
        <v>6</v>
      </c>
      <c r="C9" s="3">
        <v>1008</v>
      </c>
      <c r="E9" s="3">
        <f t="shared" si="0"/>
        <v>628.0625</v>
      </c>
      <c r="F9" s="1"/>
      <c r="J9" s="3"/>
      <c r="K9" s="9">
        <f t="shared" si="3"/>
        <v>662.96535205078112</v>
      </c>
      <c r="L9" s="9">
        <f t="shared" si="4"/>
        <v>53.771311596679652</v>
      </c>
      <c r="M9" s="1"/>
      <c r="Q9" s="3"/>
      <c r="R9" s="9">
        <f t="shared" si="5"/>
        <v>884.69563349609359</v>
      </c>
      <c r="S9" s="9">
        <f t="shared" si="6"/>
        <v>102.65172240722652</v>
      </c>
      <c r="T9" s="9">
        <f t="shared" si="1"/>
        <v>1.1393749011924459</v>
      </c>
      <c r="U9" s="1" t="s">
        <v>20</v>
      </c>
      <c r="V9" s="21"/>
      <c r="W9" s="22"/>
      <c r="Y9" s="3"/>
      <c r="Z9" s="9">
        <f t="shared" si="7"/>
        <v>884.69563349609359</v>
      </c>
      <c r="AA9" s="9">
        <f t="shared" si="8"/>
        <v>102.65172240722652</v>
      </c>
      <c r="AB9" s="9">
        <f t="shared" si="2"/>
        <v>123.30436650390641</v>
      </c>
      <c r="AC9" s="1" t="s">
        <v>20</v>
      </c>
      <c r="AD9" s="21"/>
      <c r="AE9" s="22"/>
    </row>
    <row r="10" spans="1:31" x14ac:dyDescent="0.25">
      <c r="A10" s="2">
        <v>42917</v>
      </c>
      <c r="B10" s="5">
        <v>7</v>
      </c>
      <c r="C10" s="3">
        <v>820</v>
      </c>
      <c r="E10" s="3">
        <f t="shared" si="0"/>
        <v>723.046875</v>
      </c>
      <c r="F10" s="1"/>
      <c r="J10" s="3"/>
      <c r="K10" s="9">
        <f t="shared" si="3"/>
        <v>661.8955303405761</v>
      </c>
      <c r="L10" s="9">
        <f t="shared" si="4"/>
        <v>34.576914939270019</v>
      </c>
      <c r="M10" s="1"/>
      <c r="Q10" s="3"/>
      <c r="R10" s="9">
        <f t="shared" si="5"/>
        <v>928.77578133715815</v>
      </c>
      <c r="S10" s="9">
        <f t="shared" si="6"/>
        <v>82.151671309069826</v>
      </c>
      <c r="T10" s="9">
        <f t="shared" si="1"/>
        <v>0.88288262514710092</v>
      </c>
      <c r="U10" s="1" t="s">
        <v>20</v>
      </c>
      <c r="V10" s="21"/>
      <c r="W10" s="22"/>
      <c r="Y10" s="3"/>
      <c r="Z10" s="9">
        <f t="shared" si="7"/>
        <v>928.77578133715815</v>
      </c>
      <c r="AA10" s="9">
        <f t="shared" si="8"/>
        <v>82.151671309069826</v>
      </c>
      <c r="AB10" s="9">
        <f t="shared" si="2"/>
        <v>-108.77578133715815</v>
      </c>
      <c r="AC10" s="1" t="s">
        <v>20</v>
      </c>
      <c r="AD10" s="21"/>
      <c r="AE10" s="22"/>
    </row>
    <row r="11" spans="1:31" x14ac:dyDescent="0.25">
      <c r="A11" s="2">
        <v>42948</v>
      </c>
      <c r="B11" s="5">
        <v>8</v>
      </c>
      <c r="C11" s="3">
        <v>664</v>
      </c>
      <c r="E11" s="3">
        <f t="shared" si="0"/>
        <v>747.28515625</v>
      </c>
      <c r="F11" s="1"/>
      <c r="J11" s="3"/>
      <c r="K11" s="9">
        <f t="shared" si="3"/>
        <v>636.48896155097952</v>
      </c>
      <c r="L11" s="9">
        <f t="shared" si="4"/>
        <v>13.582695634166713</v>
      </c>
      <c r="M11" s="1"/>
      <c r="Q11" s="3"/>
      <c r="R11" s="9">
        <f t="shared" si="5"/>
        <v>889.50284422004813</v>
      </c>
      <c r="S11" s="9">
        <f t="shared" si="6"/>
        <v>39.653058359906879</v>
      </c>
      <c r="T11" s="9">
        <f t="shared" si="1"/>
        <v>0.74648440341101086</v>
      </c>
      <c r="U11" s="1" t="s">
        <v>20</v>
      </c>
      <c r="V11" s="21"/>
      <c r="W11" s="22"/>
      <c r="Y11" s="3"/>
      <c r="Z11" s="9">
        <f t="shared" si="7"/>
        <v>889.50284422004813</v>
      </c>
      <c r="AA11" s="9">
        <f t="shared" si="8"/>
        <v>39.653058359906879</v>
      </c>
      <c r="AB11" s="9">
        <f t="shared" si="2"/>
        <v>-225.50284422004813</v>
      </c>
      <c r="AC11" s="1" t="s">
        <v>20</v>
      </c>
      <c r="AD11" s="21"/>
      <c r="AE11" s="22"/>
    </row>
    <row r="12" spans="1:31" x14ac:dyDescent="0.25">
      <c r="A12" s="2">
        <v>42979</v>
      </c>
      <c r="B12" s="5">
        <v>9</v>
      </c>
      <c r="C12" s="3">
        <v>616</v>
      </c>
      <c r="E12" s="3">
        <f t="shared" si="0"/>
        <v>726.4638671875</v>
      </c>
      <c r="F12" s="1"/>
      <c r="J12" s="3"/>
      <c r="K12" s="9">
        <f t="shared" si="3"/>
        <v>621.17969943760954</v>
      </c>
      <c r="L12" s="9">
        <f t="shared" si="4"/>
        <v>3.4705104225288705</v>
      </c>
      <c r="M12" s="1"/>
      <c r="Q12" s="3"/>
      <c r="R12" s="9">
        <f t="shared" si="5"/>
        <v>819.55133667697078</v>
      </c>
      <c r="S12" s="9">
        <f t="shared" si="6"/>
        <v>1.2914602938624</v>
      </c>
      <c r="T12" s="9">
        <f t="shared" si="1"/>
        <v>0.75163076726552724</v>
      </c>
      <c r="U12" s="1" t="s">
        <v>20</v>
      </c>
      <c r="V12" s="21"/>
      <c r="W12" s="22"/>
      <c r="Y12" s="3"/>
      <c r="Z12" s="9">
        <f t="shared" si="7"/>
        <v>819.55133667697078</v>
      </c>
      <c r="AA12" s="9">
        <f t="shared" si="8"/>
        <v>1.2914602938624</v>
      </c>
      <c r="AB12" s="9">
        <f t="shared" si="2"/>
        <v>-203.55133667697078</v>
      </c>
      <c r="AC12" s="1" t="s">
        <v>20</v>
      </c>
      <c r="AD12" s="21"/>
      <c r="AE12" s="22"/>
    </row>
    <row r="13" spans="1:31" x14ac:dyDescent="0.25">
      <c r="A13" s="2">
        <v>43009</v>
      </c>
      <c r="B13" s="5">
        <v>10</v>
      </c>
      <c r="C13" s="3">
        <v>996</v>
      </c>
      <c r="E13" s="3">
        <f t="shared" si="0"/>
        <v>698.847900390625</v>
      </c>
      <c r="F13" s="1"/>
      <c r="J13" s="3"/>
      <c r="K13" s="9">
        <f t="shared" si="3"/>
        <v>712.28189176131059</v>
      </c>
      <c r="L13" s="9">
        <f t="shared" si="4"/>
        <v>34.141599087939127</v>
      </c>
      <c r="M13" s="1"/>
      <c r="Q13" s="3"/>
      <c r="R13" s="9">
        <f t="shared" si="5"/>
        <v>882.14781803104165</v>
      </c>
      <c r="S13" s="9">
        <f t="shared" si="6"/>
        <v>22.748217664935364</v>
      </c>
      <c r="T13" s="9">
        <f t="shared" si="1"/>
        <v>1.1290624764260904</v>
      </c>
      <c r="U13" s="1" t="s">
        <v>20</v>
      </c>
      <c r="V13" s="21"/>
      <c r="W13" s="22"/>
      <c r="Y13" s="3"/>
      <c r="Z13" s="9">
        <f t="shared" si="7"/>
        <v>882.14781803104165</v>
      </c>
      <c r="AA13" s="9">
        <f t="shared" si="8"/>
        <v>22.748217664935364</v>
      </c>
      <c r="AB13" s="9">
        <f t="shared" si="2"/>
        <v>113.85218196895835</v>
      </c>
      <c r="AC13" s="1" t="s">
        <v>20</v>
      </c>
      <c r="AD13" s="21"/>
      <c r="AE13" s="22"/>
    </row>
    <row r="14" spans="1:31" x14ac:dyDescent="0.25">
      <c r="A14" s="2">
        <v>43040</v>
      </c>
      <c r="B14" s="5">
        <v>11</v>
      </c>
      <c r="C14" s="3">
        <v>872</v>
      </c>
      <c r="E14" s="3">
        <f t="shared" si="0"/>
        <v>773.13592529296875</v>
      </c>
      <c r="F14" s="1"/>
      <c r="J14" s="3"/>
      <c r="K14" s="9">
        <f t="shared" si="3"/>
        <v>726.60521950502857</v>
      </c>
      <c r="L14" s="9">
        <f t="shared" si="4"/>
        <v>27.205204117461726</v>
      </c>
      <c r="M14" s="1"/>
      <c r="Q14" s="3"/>
      <c r="R14" s="9">
        <f t="shared" si="5"/>
        <v>893.3824232023851</v>
      </c>
      <c r="S14" s="9">
        <f t="shared" si="6"/>
        <v>18.718453292178193</v>
      </c>
      <c r="T14" s="9">
        <f t="shared" si="1"/>
        <v>0.97606576685744673</v>
      </c>
      <c r="U14" s="1" t="s">
        <v>20</v>
      </c>
      <c r="V14" s="21"/>
      <c r="W14" s="22"/>
      <c r="Y14" s="3"/>
      <c r="Z14" s="9">
        <f t="shared" si="7"/>
        <v>893.3824232023851</v>
      </c>
      <c r="AA14" s="9">
        <f t="shared" si="8"/>
        <v>18.718453292178193</v>
      </c>
      <c r="AB14" s="9">
        <f t="shared" si="2"/>
        <v>-21.382423202385098</v>
      </c>
      <c r="AC14" s="1" t="s">
        <v>20</v>
      </c>
      <c r="AD14" s="21"/>
      <c r="AE14" s="22"/>
    </row>
    <row r="15" spans="1:31" x14ac:dyDescent="0.25">
      <c r="A15" s="2">
        <v>43070</v>
      </c>
      <c r="B15" s="5">
        <v>12</v>
      </c>
      <c r="C15" s="3">
        <v>1016</v>
      </c>
      <c r="E15" s="3">
        <f t="shared" si="0"/>
        <v>797.85194396972656</v>
      </c>
      <c r="F15" s="1"/>
      <c r="J15" s="3"/>
      <c r="K15" s="9">
        <f t="shared" si="3"/>
        <v>778.5500115406752</v>
      </c>
      <c r="L15" s="9">
        <f t="shared" si="4"/>
        <v>35.864059888826439</v>
      </c>
      <c r="M15" s="1"/>
      <c r="Q15" s="3"/>
      <c r="R15" s="9">
        <f t="shared" si="5"/>
        <v>948.46556972146618</v>
      </c>
      <c r="S15" s="9">
        <f t="shared" si="6"/>
        <v>31.446095921594207</v>
      </c>
      <c r="T15" s="9">
        <f t="shared" si="1"/>
        <v>1.0712038817585825</v>
      </c>
      <c r="U15" s="1" t="s">
        <v>20</v>
      </c>
      <c r="V15" s="23"/>
      <c r="W15" s="24"/>
      <c r="Y15" s="3"/>
      <c r="Z15" s="9">
        <f t="shared" si="7"/>
        <v>948.46556972146618</v>
      </c>
      <c r="AA15" s="9">
        <f t="shared" si="8"/>
        <v>31.446095921594207</v>
      </c>
      <c r="AB15" s="9">
        <f t="shared" si="2"/>
        <v>67.534430278533819</v>
      </c>
      <c r="AC15" s="1" t="s">
        <v>20</v>
      </c>
      <c r="AD15" s="23"/>
      <c r="AE15" s="24"/>
    </row>
    <row r="16" spans="1:31" x14ac:dyDescent="0.25">
      <c r="A16" s="2">
        <v>43101</v>
      </c>
      <c r="B16" s="5">
        <v>13</v>
      </c>
      <c r="C16" s="3">
        <v>856</v>
      </c>
      <c r="E16" s="3">
        <f t="shared" si="0"/>
        <v>852.38895797729492</v>
      </c>
      <c r="F16" s="1"/>
      <c r="J16" s="3"/>
      <c r="K16" s="9">
        <f t="shared" si="3"/>
        <v>771.01446373888655</v>
      </c>
      <c r="L16" s="9">
        <f t="shared" si="4"/>
        <v>20.674197197111155</v>
      </c>
      <c r="M16" s="1"/>
      <c r="Q16" s="3"/>
      <c r="R16" s="9">
        <f>$W$4*(C16/T4)+(1-$W$4)*(R15+S15)</f>
        <v>936.54258266798911</v>
      </c>
      <c r="S16" s="9">
        <f t="shared" si="6"/>
        <v>16.266916880319261</v>
      </c>
      <c r="T16" s="9">
        <f>$W$6*(C16/R16)+(1-$W$6)*T4</f>
        <v>0.96130003817088161</v>
      </c>
      <c r="U16" s="1"/>
      <c r="Y16" s="3"/>
      <c r="Z16" s="9">
        <f>$AE$4*(C16-AB4)+(1-$AE$4)*(Z15+AA15)</f>
        <v>936.54258266798911</v>
      </c>
      <c r="AA16" s="9">
        <f t="shared" si="8"/>
        <v>16.266916880319261</v>
      </c>
      <c r="AB16" s="9">
        <f>$AE$6*(C16-Z16)+(1-$AE$6)*AB4</f>
        <v>-36.244162200595099</v>
      </c>
      <c r="AC16" s="1"/>
    </row>
    <row r="17" spans="1:29" x14ac:dyDescent="0.25">
      <c r="A17" s="2">
        <v>43132</v>
      </c>
      <c r="B17" s="5">
        <v>14</v>
      </c>
      <c r="C17" s="3">
        <v>1136</v>
      </c>
      <c r="E17" s="3">
        <f t="shared" si="0"/>
        <v>853.29171848297119</v>
      </c>
      <c r="F17" s="1"/>
      <c r="J17" s="3"/>
      <c r="K17" s="9">
        <f t="shared" si="3"/>
        <v>846.75519990633154</v>
      </c>
      <c r="L17" s="9">
        <f t="shared" si="4"/>
        <v>39.947485836727999</v>
      </c>
      <c r="M17" s="1"/>
      <c r="Q17" s="3"/>
      <c r="R17" s="9">
        <f t="shared" ref="R17:R29" si="9">$W$4*(C17/T5)+(1-$W$4)*(R16+S16)</f>
        <v>888.34906027853981</v>
      </c>
      <c r="S17" s="9">
        <f t="shared" ref="S17:S29" si="10">$W$5*(R17-R16)+(1-$W$5)*S16</f>
        <v>-6.2942368640997337</v>
      </c>
      <c r="T17" s="9">
        <f t="shared" ref="T17:T29" si="11">$W$6*(C17/R17)+(1-$W$6)*T5</f>
        <v>1.388317121660299</v>
      </c>
      <c r="U17" s="1"/>
      <c r="Y17" s="3"/>
      <c r="Z17" s="9">
        <f t="shared" ref="Z17:Z29" si="12">$AE$4*(C17-AB5)+(1-$AE$4)*(Z16+AA16)</f>
        <v>925.92617470640039</v>
      </c>
      <c r="AA17" s="9">
        <f t="shared" si="8"/>
        <v>6.8577531856514691</v>
      </c>
      <c r="AB17" s="9">
        <f t="shared" ref="AB17:AB29" si="13">$AE$6*(C17-Z17)+(1-$AE$6)*AB5</f>
        <v>237.53322138211985</v>
      </c>
      <c r="AC17" s="1"/>
    </row>
    <row r="18" spans="1:29" x14ac:dyDescent="0.25">
      <c r="A18" s="2">
        <v>43160</v>
      </c>
      <c r="B18" s="5">
        <v>15</v>
      </c>
      <c r="C18" s="3">
        <v>1028</v>
      </c>
      <c r="E18" s="3">
        <f t="shared" si="0"/>
        <v>923.96878886222839</v>
      </c>
      <c r="F18" s="1"/>
      <c r="J18" s="3"/>
      <c r="K18" s="9">
        <f t="shared" si="3"/>
        <v>862.10578555220263</v>
      </c>
      <c r="L18" s="9">
        <f t="shared" si="4"/>
        <v>31.338570769928083</v>
      </c>
      <c r="M18" s="1"/>
      <c r="Q18" s="3"/>
      <c r="R18" s="9">
        <f t="shared" si="9"/>
        <v>1216.7466426820727</v>
      </c>
      <c r="S18" s="9">
        <f t="shared" si="10"/>
        <v>110.84789987957166</v>
      </c>
      <c r="T18" s="9">
        <f t="shared" si="11"/>
        <v>0.68775808843739994</v>
      </c>
      <c r="U18" s="1"/>
      <c r="Y18" s="3"/>
      <c r="Z18" s="9">
        <f t="shared" si="12"/>
        <v>1040.0470531298338</v>
      </c>
      <c r="AA18" s="9">
        <f t="shared" si="8"/>
        <v>44.399847018875143</v>
      </c>
      <c r="AB18" s="9">
        <f t="shared" si="13"/>
        <v>-121.60867390842522</v>
      </c>
      <c r="AC18" s="1"/>
    </row>
    <row r="19" spans="1:29" x14ac:dyDescent="0.25">
      <c r="A19" s="2">
        <v>43191</v>
      </c>
      <c r="B19" s="5">
        <v>16</v>
      </c>
      <c r="C19" s="3">
        <v>1128</v>
      </c>
      <c r="E19" s="3">
        <f t="shared" si="0"/>
        <v>949.9765916466713</v>
      </c>
      <c r="F19" s="1"/>
      <c r="J19" s="3"/>
      <c r="K19" s="9">
        <f t="shared" si="3"/>
        <v>905.07541108670591</v>
      </c>
      <c r="L19" s="9">
        <f t="shared" si="4"/>
        <v>35.409439937529399</v>
      </c>
      <c r="M19" s="1"/>
      <c r="Q19" s="3"/>
      <c r="R19" s="9">
        <f t="shared" si="9"/>
        <v>1153.9735639455566</v>
      </c>
      <c r="S19" s="9">
        <f t="shared" si="10"/>
        <v>50.080557363940976</v>
      </c>
      <c r="T19" s="9">
        <f t="shared" si="11"/>
        <v>1.1859618464490906</v>
      </c>
      <c r="U19" s="1"/>
      <c r="Y19" s="3"/>
      <c r="Z19" s="9">
        <f t="shared" si="12"/>
        <v>1024.2600163466607</v>
      </c>
      <c r="AA19" s="9">
        <f t="shared" si="8"/>
        <v>23.334437688158257</v>
      </c>
      <c r="AB19" s="9">
        <f t="shared" si="13"/>
        <v>165.21658639400272</v>
      </c>
      <c r="AC19" s="1"/>
    </row>
    <row r="20" spans="1:29" x14ac:dyDescent="0.25">
      <c r="A20" s="2">
        <v>43221</v>
      </c>
      <c r="B20" s="5">
        <v>17</v>
      </c>
      <c r="C20" s="3">
        <v>1120</v>
      </c>
      <c r="E20" s="3">
        <f t="shared" si="0"/>
        <v>994.48244373500347</v>
      </c>
      <c r="F20" s="1"/>
      <c r="J20" s="3"/>
      <c r="K20" s="9">
        <f t="shared" si="3"/>
        <v>932.24947836188232</v>
      </c>
      <c r="L20" s="9">
        <f t="shared" si="4"/>
        <v>32.52705950570585</v>
      </c>
      <c r="M20" s="1"/>
      <c r="Q20" s="3"/>
      <c r="R20" s="9">
        <f t="shared" si="9"/>
        <v>1105.8984088316422</v>
      </c>
      <c r="S20" s="9">
        <f t="shared" si="10"/>
        <v>15.726057996691587</v>
      </c>
      <c r="T20" s="9">
        <f t="shared" si="11"/>
        <v>1.1226867920231975</v>
      </c>
      <c r="U20" s="1"/>
      <c r="Y20" s="3"/>
      <c r="Z20" s="9">
        <f t="shared" si="12"/>
        <v>1017.9469791070073</v>
      </c>
      <c r="AA20" s="9">
        <f t="shared" si="8"/>
        <v>12.957821463424199</v>
      </c>
      <c r="AB20" s="9">
        <f t="shared" si="13"/>
        <v>132.33579885497176</v>
      </c>
      <c r="AC20" s="1"/>
    </row>
    <row r="21" spans="1:29" x14ac:dyDescent="0.25">
      <c r="A21" s="2">
        <v>43252</v>
      </c>
      <c r="B21" s="5">
        <v>18</v>
      </c>
      <c r="C21" s="3">
        <v>940</v>
      </c>
      <c r="E21" s="3">
        <f t="shared" si="0"/>
        <v>1025.8618328012526</v>
      </c>
      <c r="F21" s="1"/>
      <c r="J21" s="3"/>
      <c r="K21" s="9">
        <f>$O$4*C21+(1-$O$4)*(K20-L20)</f>
        <v>909.79181414213235</v>
      </c>
      <c r="L21" s="9">
        <f t="shared" si="4"/>
        <v>13.282406201796315</v>
      </c>
      <c r="M21" s="1"/>
      <c r="Q21" s="3"/>
      <c r="R21" s="9">
        <f t="shared" si="9"/>
        <v>1017.8107282600588</v>
      </c>
      <c r="S21" s="9">
        <f t="shared" si="10"/>
        <v>-20.608750502204657</v>
      </c>
      <c r="T21" s="9">
        <f t="shared" si="11"/>
        <v>1.0422540944155843</v>
      </c>
      <c r="U21" s="1"/>
      <c r="Y21" s="3"/>
      <c r="Z21" s="9">
        <f t="shared" si="12"/>
        <v>955.93159209441319</v>
      </c>
      <c r="AA21" s="9">
        <f t="shared" si="8"/>
        <v>-13.282801503182219</v>
      </c>
      <c r="AB21" s="9">
        <f t="shared" si="13"/>
        <v>60.648185134662597</v>
      </c>
      <c r="AC21" s="1"/>
    </row>
    <row r="22" spans="1:29" x14ac:dyDescent="0.25">
      <c r="A22" s="2">
        <v>43282</v>
      </c>
      <c r="B22" s="5">
        <v>19</v>
      </c>
      <c r="C22" s="3">
        <v>800</v>
      </c>
      <c r="E22" s="3">
        <f t="shared" si="0"/>
        <v>1004.3963746009395</v>
      </c>
      <c r="F22" s="1"/>
      <c r="J22" s="3"/>
      <c r="K22" s="9">
        <f t="shared" si="3"/>
        <v>872.38205595525199</v>
      </c>
      <c r="L22" s="9">
        <f t="shared" si="4"/>
        <v>-4.4598513342405219</v>
      </c>
      <c r="M22" s="1"/>
      <c r="Q22" s="3"/>
      <c r="R22" s="9">
        <f t="shared" si="9"/>
        <v>965.32423526748846</v>
      </c>
      <c r="S22" s="9">
        <f t="shared" si="10"/>
        <v>-31.765960373832641</v>
      </c>
      <c r="T22" s="9">
        <f t="shared" si="11"/>
        <v>0.85851713543009667</v>
      </c>
      <c r="U22" s="1"/>
      <c r="Y22" s="3"/>
      <c r="Z22" s="9">
        <f t="shared" si="12"/>
        <v>930.79323735230548</v>
      </c>
      <c r="AA22" s="9">
        <f t="shared" si="8"/>
        <v>-17.432245136806138</v>
      </c>
      <c r="AB22" s="9">
        <f t="shared" si="13"/>
        <v>-118.68363654397446</v>
      </c>
      <c r="AC22" s="1"/>
    </row>
    <row r="23" spans="1:29" x14ac:dyDescent="0.25">
      <c r="A23" s="2">
        <v>43313</v>
      </c>
      <c r="B23" s="5">
        <v>20</v>
      </c>
      <c r="C23" s="3">
        <v>752</v>
      </c>
      <c r="E23" s="3">
        <f t="shared" si="0"/>
        <v>953.29728095070459</v>
      </c>
      <c r="F23" s="1"/>
      <c r="J23" s="3"/>
      <c r="K23" s="9">
        <f t="shared" si="3"/>
        <v>845.63143046711934</v>
      </c>
      <c r="L23" s="9">
        <f t="shared" si="4"/>
        <v>-12.261622288102764</v>
      </c>
      <c r="M23" s="1"/>
      <c r="Q23" s="3"/>
      <c r="R23" s="9">
        <f t="shared" si="9"/>
        <v>959.39894584761828</v>
      </c>
      <c r="S23" s="9">
        <f t="shared" si="10"/>
        <v>-22.721725539945783</v>
      </c>
      <c r="T23" s="9">
        <f t="shared" si="11"/>
        <v>0.76328725971377887</v>
      </c>
      <c r="U23" s="1"/>
      <c r="Y23" s="3"/>
      <c r="Z23" s="9">
        <f t="shared" si="12"/>
        <v>935.81064041709146</v>
      </c>
      <c r="AA23" s="9">
        <f t="shared" si="8"/>
        <v>-9.5748682662488953</v>
      </c>
      <c r="AB23" s="9">
        <f t="shared" si="13"/>
        <v>-206.74135250871763</v>
      </c>
      <c r="AC23" s="1"/>
    </row>
    <row r="24" spans="1:29" x14ac:dyDescent="0.25">
      <c r="A24" s="2">
        <v>43344</v>
      </c>
      <c r="B24" s="5">
        <v>21</v>
      </c>
      <c r="C24" s="3">
        <v>1084</v>
      </c>
      <c r="E24" s="3">
        <f t="shared" si="0"/>
        <v>902.97296071302844</v>
      </c>
      <c r="F24" s="1"/>
      <c r="J24" s="3"/>
      <c r="K24" s="9">
        <f t="shared" si="3"/>
        <v>914.41978956641663</v>
      </c>
      <c r="L24" s="9">
        <f t="shared" si="4"/>
        <v>16.10587119748725</v>
      </c>
      <c r="M24" s="1"/>
      <c r="Q24" s="3"/>
      <c r="R24" s="9">
        <f t="shared" si="9"/>
        <v>1113.6093119260306</v>
      </c>
      <c r="S24" s="9">
        <f t="shared" si="10"/>
        <v>39.204506526479555</v>
      </c>
      <c r="T24" s="9">
        <f t="shared" si="11"/>
        <v>0.85143205224861562</v>
      </c>
      <c r="U24" s="1"/>
      <c r="Y24" s="3"/>
      <c r="Z24" s="9">
        <f t="shared" si="12"/>
        <v>1052.6962197349874</v>
      </c>
      <c r="AA24" s="9">
        <f t="shared" si="8"/>
        <v>34.686288388201788</v>
      </c>
      <c r="AB24" s="9">
        <f t="shared" si="13"/>
        <v>-97.866534053078254</v>
      </c>
      <c r="AC24" s="1"/>
    </row>
    <row r="25" spans="1:29" x14ac:dyDescent="0.25">
      <c r="A25" s="2">
        <v>43374</v>
      </c>
      <c r="B25" s="5">
        <v>22</v>
      </c>
      <c r="C25" s="3">
        <v>948</v>
      </c>
      <c r="E25" s="3">
        <f t="shared" si="0"/>
        <v>948.22972053477133</v>
      </c>
      <c r="F25" s="1"/>
      <c r="J25" s="3"/>
      <c r="K25" s="9">
        <f t="shared" si="3"/>
        <v>910.73543877669704</v>
      </c>
      <c r="L25" s="9">
        <f t="shared" si="4"/>
        <v>9.1792935019648567</v>
      </c>
      <c r="M25" s="1"/>
      <c r="Q25" s="3"/>
      <c r="R25" s="9">
        <f t="shared" si="9"/>
        <v>1043.201116555075</v>
      </c>
      <c r="S25" s="9">
        <f t="shared" si="10"/>
        <v>0.84006086237725697</v>
      </c>
      <c r="T25" s="9">
        <f t="shared" si="11"/>
        <v>1.029917973425359</v>
      </c>
      <c r="U25" s="1"/>
      <c r="Y25" s="3"/>
      <c r="Z25" s="9">
        <f t="shared" si="12"/>
        <v>998.75036659093757</v>
      </c>
      <c r="AA25" s="9">
        <f t="shared" si="8"/>
        <v>3.6650388519137351</v>
      </c>
      <c r="AB25" s="9">
        <f t="shared" si="13"/>
        <v>39.781035117005189</v>
      </c>
      <c r="AC25" s="1"/>
    </row>
    <row r="26" spans="1:29" x14ac:dyDescent="0.25">
      <c r="A26" s="2">
        <v>43405</v>
      </c>
      <c r="B26" s="5">
        <v>23</v>
      </c>
      <c r="C26" s="3">
        <v>696</v>
      </c>
      <c r="E26" s="3">
        <f t="shared" si="0"/>
        <v>948.1722904010785</v>
      </c>
      <c r="F26" s="1"/>
      <c r="J26" s="3"/>
      <c r="K26" s="9">
        <f t="shared" si="3"/>
        <v>850.16710895604911</v>
      </c>
      <c r="L26" s="9">
        <f t="shared" si="4"/>
        <v>-15.232374660949617</v>
      </c>
      <c r="M26" s="1"/>
      <c r="Q26" s="3"/>
      <c r="R26" s="9">
        <f t="shared" si="9"/>
        <v>928.20011198659745</v>
      </c>
      <c r="S26" s="9">
        <f t="shared" si="10"/>
        <v>-39.704312038421932</v>
      </c>
      <c r="T26" s="9">
        <f t="shared" si="11"/>
        <v>0.87426340966501492</v>
      </c>
      <c r="U26" s="1"/>
      <c r="Y26" s="3"/>
      <c r="Z26" s="9">
        <f t="shared" si="12"/>
        <v>902.65386165868813</v>
      </c>
      <c r="AA26" s="9">
        <f t="shared" si="8"/>
        <v>-31.251501472543374</v>
      </c>
      <c r="AB26" s="9">
        <f t="shared" si="13"/>
        <v>-104.75457050772147</v>
      </c>
      <c r="AC26" s="1"/>
    </row>
    <row r="27" spans="1:29" x14ac:dyDescent="0.25">
      <c r="A27" s="2">
        <v>43435</v>
      </c>
      <c r="B27" s="5">
        <v>24</v>
      </c>
      <c r="C27" s="3">
        <v>1344</v>
      </c>
      <c r="E27" s="3">
        <f t="shared" si="0"/>
        <v>885.12921780080887</v>
      </c>
      <c r="F27" s="1"/>
      <c r="J27" s="3"/>
      <c r="K27" s="9">
        <f t="shared" si="3"/>
        <v>985.04961271274908</v>
      </c>
      <c r="L27" s="9">
        <f t="shared" si="4"/>
        <v>37.307832785227731</v>
      </c>
      <c r="M27" s="1"/>
      <c r="Q27" s="3"/>
      <c r="R27" s="9">
        <f t="shared" si="9"/>
        <v>1016.6543605145204</v>
      </c>
      <c r="S27" s="9">
        <f t="shared" si="10"/>
        <v>5.1511841597987598</v>
      </c>
      <c r="T27" s="9">
        <f t="shared" si="11"/>
        <v>1.1840545816920991</v>
      </c>
      <c r="U27" s="1"/>
      <c r="Y27" s="3"/>
      <c r="Z27" s="9">
        <f t="shared" si="12"/>
        <v>1013.1744835235072</v>
      </c>
      <c r="AA27" s="9">
        <f t="shared" si="8"/>
        <v>18.36874169553348</v>
      </c>
      <c r="AB27" s="9">
        <f t="shared" si="13"/>
        <v>186.01541906761537</v>
      </c>
      <c r="AC27" s="1"/>
    </row>
    <row r="28" spans="1:29" x14ac:dyDescent="0.25">
      <c r="A28" s="2">
        <v>43466</v>
      </c>
      <c r="B28" s="5">
        <v>25</v>
      </c>
      <c r="C28" s="3">
        <v>1288</v>
      </c>
      <c r="E28" s="3">
        <f t="shared" si="0"/>
        <v>999.84691335060666</v>
      </c>
      <c r="F28" s="1"/>
      <c r="J28" s="3"/>
      <c r="K28" s="9">
        <f t="shared" si="3"/>
        <v>1032.8063349456411</v>
      </c>
      <c r="L28" s="9">
        <f t="shared" si="4"/>
        <v>40.964944091910226</v>
      </c>
      <c r="M28" s="1"/>
      <c r="Q28" s="3"/>
      <c r="R28" s="9">
        <f t="shared" si="9"/>
        <v>1133.1218845957096</v>
      </c>
      <c r="S28" s="9">
        <f t="shared" si="10"/>
        <v>44.111903132285427</v>
      </c>
      <c r="T28" s="9">
        <f t="shared" si="11"/>
        <v>1.0402222188333397</v>
      </c>
      <c r="U28" s="1"/>
      <c r="Y28" s="3"/>
      <c r="Z28" s="9">
        <f t="shared" si="12"/>
        <v>1133.9885531625848</v>
      </c>
      <c r="AA28" s="9">
        <f t="shared" si="8"/>
        <v>54.224606475773925</v>
      </c>
      <c r="AB28" s="9">
        <f t="shared" si="13"/>
        <v>49.370861866509529</v>
      </c>
      <c r="AC28" s="1"/>
    </row>
    <row r="29" spans="1:29" x14ac:dyDescent="0.25">
      <c r="A29" s="2">
        <v>43497</v>
      </c>
      <c r="B29" s="5">
        <v>26</v>
      </c>
      <c r="C29" s="3">
        <v>1284</v>
      </c>
      <c r="E29" s="3">
        <f t="shared" si="0"/>
        <v>1071.8851850129549</v>
      </c>
      <c r="F29" s="1"/>
      <c r="J29" s="3"/>
      <c r="K29" s="9">
        <f t="shared" si="3"/>
        <v>1064.8810431402981</v>
      </c>
      <c r="L29" s="9">
        <f t="shared" si="4"/>
        <v>37.853361527871591</v>
      </c>
      <c r="M29" s="1"/>
      <c r="Q29" s="3"/>
      <c r="R29" s="9">
        <f t="shared" si="9"/>
        <v>1088.9032208988053</v>
      </c>
      <c r="S29" s="9">
        <f t="shared" si="10"/>
        <v>13.196204742069028</v>
      </c>
      <c r="T29" s="9">
        <f t="shared" si="11"/>
        <v>1.294200085852844</v>
      </c>
      <c r="U29" s="1"/>
      <c r="Y29" s="3"/>
      <c r="Z29" s="9">
        <f t="shared" si="12"/>
        <v>1138.6019262811913</v>
      </c>
      <c r="AA29" s="9">
        <f t="shared" si="8"/>
        <v>36.86067480076531</v>
      </c>
      <c r="AB29" s="9">
        <f t="shared" si="13"/>
        <v>196.07240493362985</v>
      </c>
      <c r="AC29" s="1"/>
    </row>
    <row r="30" spans="1:29" x14ac:dyDescent="0.25">
      <c r="A30" s="7">
        <v>43525</v>
      </c>
      <c r="B30" s="8">
        <v>27</v>
      </c>
      <c r="C30" s="13" t="s">
        <v>8</v>
      </c>
      <c r="E30" s="10">
        <f t="shared" si="0"/>
        <v>1124.9138887597162</v>
      </c>
      <c r="F30" s="11" t="s">
        <v>7</v>
      </c>
      <c r="J30" s="10">
        <f>K29+1*L29</f>
        <v>1102.7344046681696</v>
      </c>
      <c r="K30" s="10"/>
      <c r="L30" s="10"/>
      <c r="M30" s="11" t="s">
        <v>7</v>
      </c>
      <c r="Q30" s="10">
        <f>(R29+1*S29)*T18</f>
        <v>757.97779424672422</v>
      </c>
      <c r="R30" s="10"/>
      <c r="S30" s="10"/>
      <c r="T30" s="10"/>
      <c r="U30" s="11" t="s">
        <v>7</v>
      </c>
      <c r="Y30" s="10">
        <f>Z29+1*AA29+AB18</f>
        <v>1053.8539271735312</v>
      </c>
      <c r="Z30" s="10"/>
      <c r="AA30" s="10"/>
      <c r="AB30" s="10"/>
      <c r="AC30" s="11" t="s">
        <v>7</v>
      </c>
    </row>
    <row r="31" spans="1:29" x14ac:dyDescent="0.25">
      <c r="A31" s="7">
        <v>43556</v>
      </c>
      <c r="B31" s="8">
        <v>28</v>
      </c>
      <c r="C31" s="14"/>
      <c r="E31" s="10"/>
      <c r="F31" s="11"/>
      <c r="J31" s="10">
        <f>K29+2*L29</f>
        <v>1140.5877661960412</v>
      </c>
      <c r="K31" s="10"/>
      <c r="L31" s="10"/>
      <c r="M31" s="11" t="s">
        <v>7</v>
      </c>
      <c r="Q31" s="10">
        <f>(R29+2*S29)*T19</f>
        <v>1322.6980651455578</v>
      </c>
      <c r="R31" s="10"/>
      <c r="S31" s="10"/>
      <c r="T31" s="10"/>
      <c r="U31" s="11" t="s">
        <v>7</v>
      </c>
      <c r="Y31" s="10">
        <f>Z29+2*AA29+AB19</f>
        <v>1377.5398622767245</v>
      </c>
      <c r="Z31" s="10"/>
      <c r="AA31" s="10"/>
      <c r="AB31" s="10"/>
      <c r="AC31" s="11" t="s">
        <v>7</v>
      </c>
    </row>
    <row r="32" spans="1:29" x14ac:dyDescent="0.25">
      <c r="A32" s="7">
        <v>43586</v>
      </c>
      <c r="B32" s="8">
        <v>29</v>
      </c>
      <c r="C32" s="15"/>
      <c r="E32" s="10"/>
      <c r="F32" s="11"/>
      <c r="J32" s="10">
        <f>K29+3*L29</f>
        <v>1178.4411277239128</v>
      </c>
      <c r="K32" s="10"/>
      <c r="L32" s="10"/>
      <c r="M32" s="11" t="s">
        <v>7</v>
      </c>
      <c r="Q32" s="10">
        <f>(R29+3*S29)*T20</f>
        <v>1266.9428782008713</v>
      </c>
      <c r="R32" s="10"/>
      <c r="S32" s="10"/>
      <c r="T32" s="10"/>
      <c r="U32" s="11" t="s">
        <v>7</v>
      </c>
      <c r="Y32" s="10">
        <f>Z29+3*AA29+AB20</f>
        <v>1381.5197495384589</v>
      </c>
      <c r="Z32" s="10"/>
      <c r="AA32" s="10"/>
      <c r="AB32" s="10"/>
      <c r="AC32" s="11" t="s">
        <v>7</v>
      </c>
    </row>
  </sheetData>
  <mergeCells count="12">
    <mergeCell ref="A2:C2"/>
    <mergeCell ref="C30:C32"/>
    <mergeCell ref="G3:H3"/>
    <mergeCell ref="E2:H2"/>
    <mergeCell ref="Y2:AE2"/>
    <mergeCell ref="AD3:AE3"/>
    <mergeCell ref="AD7:AE15"/>
    <mergeCell ref="J2:O2"/>
    <mergeCell ref="N3:O3"/>
    <mergeCell ref="Q2:W2"/>
    <mergeCell ref="V3:W3"/>
    <mergeCell ref="V7:W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Forecast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SHTEM.RU</dc:creator>
  <cp:keywords>Экспоненциальное сглаживание</cp:keywords>
  <cp:lastModifiedBy>HeinzBr</cp:lastModifiedBy>
  <dcterms:created xsi:type="dcterms:W3CDTF">2019-10-29T06:23:26Z</dcterms:created>
  <dcterms:modified xsi:type="dcterms:W3CDTF">2019-10-31T19:50:35Z</dcterms:modified>
</cp:coreProperties>
</file>